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Income Tax Calculator" sheetId="1" r:id="rId1"/>
  </sheets>
  <calcPr calcId="124519"/>
</workbook>
</file>

<file path=xl/calcChain.xml><?xml version="1.0" encoding="utf-8"?>
<calcChain xmlns="http://schemas.openxmlformats.org/spreadsheetml/2006/main">
  <c r="I42" i="1"/>
  <c r="I41"/>
  <c r="D14" l="1"/>
  <c r="H9"/>
  <c r="I27"/>
  <c r="H27"/>
  <c r="E9"/>
  <c r="D13"/>
  <c r="D30" l="1"/>
  <c r="E60" l="1"/>
  <c r="F59"/>
  <c r="C59" s="1"/>
  <c r="E55"/>
  <c r="E54"/>
  <c r="F53"/>
  <c r="C53" s="1"/>
  <c r="E49"/>
  <c r="E48"/>
  <c r="F47"/>
  <c r="C47" s="1"/>
  <c r="I26" l="1"/>
  <c r="I25"/>
  <c r="I9"/>
  <c r="D29" l="1"/>
  <c r="D20"/>
  <c r="E20" s="1"/>
  <c r="D16"/>
  <c r="D18"/>
  <c r="D17"/>
  <c r="D15"/>
  <c r="D11" l="1"/>
  <c r="E10" s="1"/>
  <c r="E19" s="1"/>
  <c r="E28"/>
  <c r="E31" l="1"/>
  <c r="E38" s="1"/>
  <c r="E39" l="1"/>
  <c r="E61"/>
  <c r="F54"/>
  <c r="E50"/>
  <c r="E56"/>
  <c r="F60"/>
  <c r="F48"/>
  <c r="G6"/>
  <c r="C48" l="1"/>
  <c r="F49"/>
  <c r="C54"/>
  <c r="F55"/>
  <c r="F61"/>
  <c r="C61" s="1"/>
  <c r="C60"/>
  <c r="C62" l="1"/>
  <c r="F50"/>
  <c r="C50" s="1"/>
  <c r="C49"/>
  <c r="F56"/>
  <c r="C56" s="1"/>
  <c r="C55"/>
  <c r="C51" l="1"/>
  <c r="E40" s="1"/>
  <c r="C57"/>
  <c r="E42" l="1"/>
  <c r="E41"/>
  <c r="I38" s="1"/>
  <c r="I39" l="1"/>
</calcChain>
</file>

<file path=xl/sharedStrings.xml><?xml version="1.0" encoding="utf-8"?>
<sst xmlns="http://schemas.openxmlformats.org/spreadsheetml/2006/main" count="104" uniqueCount="94">
  <si>
    <t>www.ExcelDataPro.com</t>
  </si>
  <si>
    <t>Amount</t>
  </si>
  <si>
    <t>City of Residence</t>
  </si>
  <si>
    <t>Basic Salary (Basic+DA)</t>
  </si>
  <si>
    <t>Add: Any other income from other sources</t>
  </si>
  <si>
    <t>Gross Total Income</t>
  </si>
  <si>
    <t>Less: Deduction under Sec 80C (Max Rs.1,50,000/-)</t>
  </si>
  <si>
    <t>Less: Additional Deduction under Sec 80CCD NPS (Max Rs 50,000/-)</t>
  </si>
  <si>
    <t>Less: Deduction under RGESS Sec 80CCG (Max Rs. 50,000/-)</t>
  </si>
  <si>
    <t>Total Income</t>
  </si>
  <si>
    <t>Tax Rebate of Rs. 2,500 (For Income of less than 3.5 lakhs)</t>
  </si>
  <si>
    <t>Total Tax Payable</t>
  </si>
  <si>
    <t>Add; Edn Cess + Health Cess @ 4%</t>
  </si>
  <si>
    <t>Net Tax Payable</t>
  </si>
  <si>
    <t>Advance Tax Paid</t>
  </si>
  <si>
    <t>Tax Remianing to be Paid</t>
  </si>
  <si>
    <t>Tax to Total Income Ratio</t>
  </si>
  <si>
    <t>Birth Date:</t>
  </si>
  <si>
    <t>Age:</t>
  </si>
  <si>
    <t>Insert Name As on PAN Card</t>
  </si>
  <si>
    <t>Income</t>
  </si>
  <si>
    <t>Deductions</t>
  </si>
  <si>
    <t>PAN Number</t>
  </si>
  <si>
    <t>Income Tax Calculator FY 2018-19 (AY 2019-20)</t>
  </si>
  <si>
    <t>Metro</t>
  </si>
  <si>
    <t>Non-Metro</t>
  </si>
  <si>
    <t>Mr. Rama Krishna Chaudhry</t>
  </si>
  <si>
    <t>Subtotal</t>
  </si>
  <si>
    <t>Income Tax for General</t>
  </si>
  <si>
    <t>Tax</t>
  </si>
  <si>
    <t>Tax Slabs</t>
  </si>
  <si>
    <t>Incremental</t>
  </si>
  <si>
    <t>Tax Bracket</t>
  </si>
  <si>
    <t>0 -250000</t>
  </si>
  <si>
    <t>250001 - 500000</t>
  </si>
  <si>
    <t>500001 - 1000000</t>
  </si>
  <si>
    <t>500001 +</t>
  </si>
  <si>
    <t>Total Tax</t>
  </si>
  <si>
    <t>Income Tax for Senior Citizen</t>
  </si>
  <si>
    <t>0 -300000</t>
  </si>
  <si>
    <t>300001 - 500000</t>
  </si>
  <si>
    <t>Income Tax for very Senior Citizen</t>
  </si>
  <si>
    <t>0 - 500000</t>
  </si>
  <si>
    <t>1000001 +</t>
  </si>
  <si>
    <t>Taxable Income</t>
  </si>
  <si>
    <t>Income Slabs</t>
  </si>
  <si>
    <t>Gross Annual Income/Salary including allowances</t>
  </si>
  <si>
    <t>Less: Exempt Allowances u/s 10 (for Service Period)</t>
  </si>
  <si>
    <t>1. H.R.A. Exemption</t>
  </si>
  <si>
    <t>4. Professional Tax</t>
  </si>
  <si>
    <t>A. Interest Income from following Investment Sources</t>
  </si>
  <si>
    <t>1. Bank ( Saving /FD /Rec )</t>
  </si>
  <si>
    <t>2. N.S.C.(accrued/ Recd )</t>
  </si>
  <si>
    <t>4. Post Office Recring Deposit (5 yrs.)</t>
  </si>
  <si>
    <t>B. Income from sources other than above</t>
  </si>
  <si>
    <t>C. Income from sources other than above</t>
  </si>
  <si>
    <t>Less: Exempt Interest on Home Loan U/S 24</t>
  </si>
  <si>
    <t>Loss from house property U/S 24</t>
  </si>
  <si>
    <t>Home Improvement Loan Interest upto 30,000</t>
  </si>
  <si>
    <t>Salary Income</t>
  </si>
  <si>
    <t>EPF &amp; VPF Contribution</t>
  </si>
  <si>
    <t>Senior Citizen’s Saving Scheme (SCSS)</t>
  </si>
  <si>
    <t>N.S.C (Investment + accrued Interest before Maturity Year)</t>
  </si>
  <si>
    <t>Tax Savings Bonds</t>
  </si>
  <si>
    <t>Life Insurance Premiums</t>
  </si>
  <si>
    <t>New Pension Scheme (NPS) (u/s 80CCC)</t>
  </si>
  <si>
    <t>Pension Plan from Insurance Companies/Mutual Funds (u/s 80CCC)</t>
  </si>
  <si>
    <t>80 CCD Central Govt. Employees Pension Plan (u/s 80CCD)</t>
  </si>
  <si>
    <t xml:space="preserve">Sukanya Samriddhi Account </t>
  </si>
  <si>
    <t>Stamp Duty &amp; Registration Charges</t>
  </si>
  <si>
    <r>
      <t xml:space="preserve"> </t>
    </r>
    <r>
      <rPr>
        <b/>
        <sz val="15"/>
        <color rgb="FFFF0000"/>
        <rFont val="Calibri"/>
        <family val="2"/>
        <scheme val="minor"/>
      </rPr>
      <t>AAAAA</t>
    </r>
    <r>
      <rPr>
        <b/>
        <sz val="15"/>
        <color theme="1"/>
        <rFont val="Calibri"/>
        <family val="2"/>
        <scheme val="minor"/>
      </rPr>
      <t>1234</t>
    </r>
    <r>
      <rPr>
        <b/>
        <sz val="15"/>
        <color rgb="FFFF0000"/>
        <rFont val="Calibri"/>
        <family val="2"/>
        <scheme val="minor"/>
      </rPr>
      <t>A</t>
    </r>
  </si>
  <si>
    <t>Rent Paid FY(18-19)</t>
  </si>
  <si>
    <t>H.R.A received (FY 18-19)</t>
  </si>
  <si>
    <t>2. Standard Deduction (Salaried/Pensioner Rs 40,000)</t>
  </si>
  <si>
    <t>Public Provident Fund</t>
  </si>
  <si>
    <t>E.L.S.S Tax Saving Funds</t>
  </si>
  <si>
    <t>Tax Saving Fixed Deposits (5 and 5+ years)</t>
  </si>
  <si>
    <t>Principal Repayement of Housing. Loan</t>
  </si>
  <si>
    <t>Tuition fees (Max 2 children)</t>
  </si>
  <si>
    <t xml:space="preserve">Medical Treatment of handicapped Dependent (u/s 80 DD) </t>
  </si>
  <si>
    <t>Medical Insurance premiums - Parents (u/s 80 D)</t>
  </si>
  <si>
    <t>Interest on Education Loan (u/s 80 E)</t>
  </si>
  <si>
    <t xml:space="preserve"> Donation to approved funds (u/s 80G, 80GGA, 80 GGC)</t>
  </si>
  <si>
    <t>For Rent in case of NO HRA Component (u/s 80 GG)</t>
  </si>
  <si>
    <t>Interest Income (Max Rs 50,000 for Senior Citizens &amp; Rs 10,000 for others u/s 80 TTA)</t>
  </si>
  <si>
    <t>Tax Surcharge @ 10% (For Income of Between 50 Lakhs to 1 Crore)</t>
  </si>
  <si>
    <t>Tax Surcharge @ 15% (For Income of more than 1 Crore)</t>
  </si>
  <si>
    <t>Tax Calculations</t>
  </si>
  <si>
    <t>3. Any Other Exempted Receipts/ allowances: LTA</t>
  </si>
  <si>
    <t>3. Post Office M.I.S (6 yrs.)</t>
  </si>
  <si>
    <t>Less: Deduction under chapter VI A Except the Above</t>
  </si>
  <si>
    <t>Medical Insurance premiums - Self (u/s 80 D)</t>
  </si>
  <si>
    <t>Selected Medical Treatment for self/ dependent (u/s 80 DDB)</t>
  </si>
  <si>
    <t>For Physically Disable Assesse (u/s 80 U)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</si>
</sst>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#,##0\ ;&quot; (&quot;#,##0\);&quot; -&quot;#\ ;@\ "/>
    <numFmt numFmtId="165" formatCode="_ * #,##0_ ;_ * \-#,##0_ ;_ * &quot;-&quot;??_ ;_ @_ "/>
  </numFmts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u/>
      <sz val="30"/>
      <color rgb="FFFFFF00"/>
      <name val="Calibri"/>
      <family val="2"/>
      <scheme val="minor"/>
    </font>
    <font>
      <b/>
      <sz val="10"/>
      <name val="Arial"/>
      <family val="2"/>
    </font>
    <font>
      <b/>
      <sz val="11"/>
      <color theme="0" tint="-0.249977111117893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u/>
      <sz val="40"/>
      <color rgb="FFFFFF00"/>
      <name val="Lucida Calligraphy"/>
      <family val="4"/>
    </font>
    <font>
      <b/>
      <sz val="25"/>
      <color theme="0"/>
      <name val="Lucida Calligraphy"/>
      <family val="4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5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</cellStyleXfs>
  <cellXfs count="86">
    <xf numFmtId="0" fontId="0" fillId="0" borderId="0" xfId="0"/>
    <xf numFmtId="14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horizontal="center" vertical="center"/>
    </xf>
    <xf numFmtId="9" fontId="0" fillId="0" borderId="0" xfId="0" applyNumberFormat="1" applyFill="1" applyAlignment="1" applyProtection="1">
      <alignment vertical="center"/>
      <protection hidden="1"/>
    </xf>
    <xf numFmtId="0" fontId="1" fillId="4" borderId="8" xfId="0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65" fontId="1" fillId="3" borderId="1" xfId="2" applyNumberFormat="1" applyFont="1" applyFill="1" applyBorder="1" applyAlignment="1">
      <alignment horizontal="center" vertical="center"/>
    </xf>
    <xf numFmtId="165" fontId="1" fillId="3" borderId="5" xfId="2" applyNumberFormat="1" applyFont="1" applyFill="1" applyBorder="1" applyAlignment="1">
      <alignment horizontal="center" vertical="center"/>
    </xf>
    <xf numFmtId="3" fontId="9" fillId="3" borderId="12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wrapText="1" indent="3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left" vertical="center" wrapText="1" indent="3"/>
    </xf>
    <xf numFmtId="3" fontId="1" fillId="3" borderId="11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right" vertical="center" wrapText="1"/>
    </xf>
    <xf numFmtId="3" fontId="9" fillId="3" borderId="4" xfId="0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0" fontId="9" fillId="3" borderId="4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3" fontId="16" fillId="4" borderId="8" xfId="0" applyNumberFormat="1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horizontal="center" vertical="center"/>
    </xf>
    <xf numFmtId="3" fontId="16" fillId="4" borderId="4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0" fillId="3" borderId="1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14" fontId="13" fillId="2" borderId="8" xfId="0" applyNumberFormat="1" applyFont="1" applyFill="1" applyBorder="1" applyAlignment="1">
      <alignment horizontal="center" vertical="center"/>
    </xf>
    <xf numFmtId="14" fontId="13" fillId="2" borderId="4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center" wrapText="1"/>
    </xf>
    <xf numFmtId="3" fontId="1" fillId="3" borderId="4" xfId="0" applyNumberFormat="1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5" fillId="2" borderId="19" xfId="0" applyNumberFormat="1" applyFont="1" applyFill="1" applyBorder="1" applyAlignment="1">
      <alignment horizontal="right" vertical="center"/>
    </xf>
    <xf numFmtId="3" fontId="9" fillId="2" borderId="20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/>
    </xf>
    <xf numFmtId="165" fontId="2" fillId="2" borderId="10" xfId="2" applyNumberFormat="1" applyFont="1" applyFill="1" applyBorder="1" applyAlignment="1">
      <alignment horizontal="right" vertical="center"/>
    </xf>
    <xf numFmtId="165" fontId="2" fillId="2" borderId="13" xfId="2" applyNumberFormat="1" applyFont="1" applyFill="1" applyBorder="1" applyAlignment="1">
      <alignment horizontal="right" vertical="center"/>
    </xf>
    <xf numFmtId="165" fontId="2" fillId="2" borderId="18" xfId="2" applyNumberFormat="1" applyFont="1" applyFill="1" applyBorder="1" applyAlignment="1">
      <alignment horizontal="right" vertical="center"/>
    </xf>
    <xf numFmtId="165" fontId="1" fillId="3" borderId="1" xfId="2" applyNumberFormat="1" applyFont="1" applyFill="1" applyBorder="1" applyAlignment="1">
      <alignment horizontal="righ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75551</xdr:colOff>
      <xdr:row>1</xdr:row>
      <xdr:rowOff>77209</xdr:rowOff>
    </xdr:from>
    <xdr:to>
      <xdr:col>8</xdr:col>
      <xdr:colOff>751194</xdr:colOff>
      <xdr:row>2</xdr:row>
      <xdr:rowOff>539752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6468" y="267709"/>
          <a:ext cx="1522309" cy="1520876"/>
        </a:xfrm>
        <a:prstGeom prst="rect">
          <a:avLst/>
        </a:prstGeom>
        <a:ln w="57150">
          <a:solidFill>
            <a:schemeClr val="tx2"/>
          </a:solidFill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topLeftCell="A4" zoomScale="90" zoomScaleNormal="90" workbookViewId="0">
      <selection activeCell="I42" sqref="I42"/>
    </sheetView>
  </sheetViews>
  <sheetFormatPr defaultRowHeight="15"/>
  <cols>
    <col min="1" max="1" width="2.85546875" style="6" customWidth="1"/>
    <col min="2" max="2" width="62.85546875" style="6" customWidth="1"/>
    <col min="3" max="5" width="12.85546875" style="8" customWidth="1"/>
    <col min="6" max="6" width="62.85546875" style="6" customWidth="1"/>
    <col min="7" max="9" width="12.7109375" style="6" customWidth="1"/>
    <col min="10" max="10" width="2.85546875" style="6" customWidth="1"/>
    <col min="11" max="11" width="9.140625" style="6"/>
    <col min="12" max="12" width="66.7109375" style="6" customWidth="1"/>
    <col min="13" max="16384" width="9.140625" style="6"/>
  </cols>
  <sheetData>
    <row r="1" spans="1:10">
      <c r="A1" s="1">
        <v>43555</v>
      </c>
      <c r="B1" s="2"/>
      <c r="C1" s="13" t="s">
        <v>24</v>
      </c>
      <c r="D1" s="13" t="s">
        <v>25</v>
      </c>
      <c r="E1" s="3"/>
      <c r="F1" s="2"/>
      <c r="G1" s="2"/>
      <c r="H1" s="2"/>
      <c r="I1" s="2"/>
      <c r="J1" s="5"/>
    </row>
    <row r="2" spans="1:10" ht="83.25" customHeight="1">
      <c r="A2" s="5"/>
      <c r="B2" s="67" t="s">
        <v>0</v>
      </c>
      <c r="C2" s="67"/>
      <c r="D2" s="67"/>
      <c r="E2" s="67"/>
      <c r="F2" s="67"/>
      <c r="G2" s="67"/>
      <c r="H2" s="68"/>
      <c r="I2" s="68"/>
      <c r="J2" s="5"/>
    </row>
    <row r="3" spans="1:10" ht="48.75" customHeight="1">
      <c r="A3" s="5"/>
      <c r="B3" s="69" t="s">
        <v>23</v>
      </c>
      <c r="C3" s="69"/>
      <c r="D3" s="69"/>
      <c r="E3" s="69"/>
      <c r="F3" s="69"/>
      <c r="G3" s="69"/>
      <c r="H3" s="68"/>
      <c r="I3" s="68"/>
      <c r="J3" s="5"/>
    </row>
    <row r="4" spans="1:10">
      <c r="A4" s="5"/>
      <c r="B4" s="70"/>
      <c r="C4" s="70"/>
      <c r="D4" s="70"/>
      <c r="E4" s="70"/>
      <c r="F4" s="5"/>
      <c r="G4" s="5"/>
      <c r="H4" s="5"/>
      <c r="I4" s="5"/>
      <c r="J4" s="5"/>
    </row>
    <row r="5" spans="1:10" ht="19.5">
      <c r="A5" s="5"/>
      <c r="B5" s="22" t="s">
        <v>19</v>
      </c>
      <c r="C5" s="63" t="s">
        <v>26</v>
      </c>
      <c r="D5" s="64"/>
      <c r="E5" s="65"/>
      <c r="F5" s="40" t="s">
        <v>17</v>
      </c>
      <c r="G5" s="71">
        <v>29615</v>
      </c>
      <c r="H5" s="72"/>
      <c r="I5" s="42"/>
      <c r="J5" s="5"/>
    </row>
    <row r="6" spans="1:10" ht="19.5">
      <c r="A6" s="5"/>
      <c r="B6" s="22" t="s">
        <v>22</v>
      </c>
      <c r="C6" s="63" t="s">
        <v>70</v>
      </c>
      <c r="D6" s="64"/>
      <c r="E6" s="65"/>
      <c r="F6" s="41" t="s">
        <v>18</v>
      </c>
      <c r="G6" s="73">
        <f>DATEDIF( G5, A1, "Y")</f>
        <v>38</v>
      </c>
      <c r="H6" s="74"/>
      <c r="I6" s="42"/>
      <c r="J6" s="5"/>
    </row>
    <row r="7" spans="1:10">
      <c r="A7" s="5"/>
      <c r="B7" s="66"/>
      <c r="C7" s="66"/>
      <c r="D7" s="66"/>
      <c r="E7" s="66"/>
      <c r="F7" s="5"/>
      <c r="G7" s="5"/>
      <c r="H7" s="5"/>
      <c r="I7" s="5"/>
      <c r="J7" s="5"/>
    </row>
    <row r="8" spans="1:10" ht="23.25">
      <c r="A8" s="5"/>
      <c r="B8" s="51" t="s">
        <v>20</v>
      </c>
      <c r="C8" s="51" t="s">
        <v>1</v>
      </c>
      <c r="D8" s="52" t="s">
        <v>27</v>
      </c>
      <c r="E8" s="51" t="s">
        <v>1</v>
      </c>
      <c r="F8" s="51" t="s">
        <v>21</v>
      </c>
      <c r="G8" s="52" t="s">
        <v>1</v>
      </c>
      <c r="H8" s="52" t="s">
        <v>27</v>
      </c>
      <c r="I8" s="51" t="s">
        <v>1</v>
      </c>
      <c r="J8" s="5"/>
    </row>
    <row r="9" spans="1:10" ht="39">
      <c r="A9" s="5"/>
      <c r="B9" s="43" t="s">
        <v>46</v>
      </c>
      <c r="C9" s="77">
        <v>430000</v>
      </c>
      <c r="D9" s="78"/>
      <c r="E9" s="47">
        <f>C9</f>
        <v>430000</v>
      </c>
      <c r="F9" s="43" t="s">
        <v>6</v>
      </c>
      <c r="G9" s="84"/>
      <c r="H9" s="85">
        <f>IF(SUM(G10:G24)&gt;150001,150000,SUM(G10:G24))</f>
        <v>137550</v>
      </c>
      <c r="I9" s="48">
        <f>H9</f>
        <v>137550</v>
      </c>
      <c r="J9" s="5"/>
    </row>
    <row r="10" spans="1:10" ht="39">
      <c r="A10" s="5"/>
      <c r="B10" s="75" t="s">
        <v>47</v>
      </c>
      <c r="C10" s="77"/>
      <c r="D10" s="78"/>
      <c r="E10" s="47">
        <f>-SUM(D11,D16,D17,D18)</f>
        <v>-142200</v>
      </c>
      <c r="F10" s="38" t="s">
        <v>74</v>
      </c>
      <c r="G10" s="84">
        <v>18500</v>
      </c>
      <c r="H10" s="85"/>
      <c r="I10" s="23"/>
      <c r="J10" s="5"/>
    </row>
    <row r="11" spans="1:10">
      <c r="A11" s="5"/>
      <c r="B11" s="26" t="s">
        <v>48</v>
      </c>
      <c r="C11" s="77"/>
      <c r="D11" s="78">
        <f>MAX(MIN(D13:D15),0)</f>
        <v>100000</v>
      </c>
      <c r="E11" s="76"/>
      <c r="F11" s="27" t="s">
        <v>75</v>
      </c>
      <c r="G11" s="84">
        <v>11000</v>
      </c>
      <c r="H11" s="85"/>
      <c r="I11" s="23"/>
      <c r="J11" s="5"/>
    </row>
    <row r="12" spans="1:10">
      <c r="A12" s="5"/>
      <c r="B12" s="27" t="s">
        <v>2</v>
      </c>
      <c r="C12" s="77" t="s">
        <v>24</v>
      </c>
      <c r="D12" s="78"/>
      <c r="E12" s="76"/>
      <c r="F12" s="27" t="s">
        <v>76</v>
      </c>
      <c r="G12" s="84">
        <v>25000</v>
      </c>
      <c r="H12" s="85"/>
      <c r="I12" s="23"/>
      <c r="J12" s="5"/>
    </row>
    <row r="13" spans="1:10">
      <c r="A13" s="5"/>
      <c r="B13" s="27" t="s">
        <v>3</v>
      </c>
      <c r="C13" s="77">
        <v>250000</v>
      </c>
      <c r="D13" s="78">
        <f>IF(UPPER(C12)=C1,C13*0.5,C13*0.4)</f>
        <v>125000</v>
      </c>
      <c r="E13" s="76"/>
      <c r="F13" s="27" t="s">
        <v>64</v>
      </c>
      <c r="G13" s="84">
        <v>10000</v>
      </c>
      <c r="H13" s="85"/>
      <c r="I13" s="23"/>
      <c r="J13" s="5"/>
    </row>
    <row r="14" spans="1:10">
      <c r="A14" s="5"/>
      <c r="B14" s="27" t="s">
        <v>71</v>
      </c>
      <c r="C14" s="77">
        <v>180000</v>
      </c>
      <c r="D14" s="78">
        <f>C14-0.1*C13</f>
        <v>155000</v>
      </c>
      <c r="E14" s="76"/>
      <c r="F14" s="27" t="s">
        <v>77</v>
      </c>
      <c r="G14" s="84">
        <v>15550</v>
      </c>
      <c r="H14" s="85"/>
      <c r="I14" s="23"/>
      <c r="J14" s="5"/>
    </row>
    <row r="15" spans="1:10">
      <c r="A15" s="5"/>
      <c r="B15" s="27" t="s">
        <v>72</v>
      </c>
      <c r="C15" s="77">
        <v>100000</v>
      </c>
      <c r="D15" s="78">
        <f>C15</f>
        <v>100000</v>
      </c>
      <c r="E15" s="76"/>
      <c r="F15" s="27" t="s">
        <v>69</v>
      </c>
      <c r="G15" s="84">
        <v>5000</v>
      </c>
      <c r="H15" s="85"/>
      <c r="I15" s="23"/>
      <c r="J15" s="5"/>
    </row>
    <row r="16" spans="1:10">
      <c r="A16" s="5"/>
      <c r="B16" s="26" t="s">
        <v>73</v>
      </c>
      <c r="C16" s="77">
        <v>40000</v>
      </c>
      <c r="D16" s="78">
        <f>MAX(MIN(C16,40000),0)</f>
        <v>40000</v>
      </c>
      <c r="E16" s="76"/>
      <c r="F16" s="27" t="s">
        <v>67</v>
      </c>
      <c r="G16" s="84">
        <v>0</v>
      </c>
      <c r="H16" s="85"/>
      <c r="I16" s="23"/>
      <c r="J16" s="5"/>
    </row>
    <row r="17" spans="1:10">
      <c r="A17" s="5"/>
      <c r="B17" s="26" t="s">
        <v>88</v>
      </c>
      <c r="C17" s="77">
        <v>0</v>
      </c>
      <c r="D17" s="78">
        <f>C17</f>
        <v>0</v>
      </c>
      <c r="E17" s="76"/>
      <c r="F17" s="27" t="s">
        <v>66</v>
      </c>
      <c r="G17" s="84">
        <v>12500</v>
      </c>
      <c r="H17" s="85"/>
      <c r="I17" s="23"/>
      <c r="J17" s="5"/>
    </row>
    <row r="18" spans="1:10">
      <c r="A18" s="5"/>
      <c r="B18" s="29" t="s">
        <v>49</v>
      </c>
      <c r="C18" s="77">
        <v>2200</v>
      </c>
      <c r="D18" s="78">
        <f>C18</f>
        <v>2200</v>
      </c>
      <c r="E18" s="76"/>
      <c r="F18" s="27" t="s">
        <v>78</v>
      </c>
      <c r="G18" s="84">
        <v>25000</v>
      </c>
      <c r="H18" s="85"/>
      <c r="I18" s="23"/>
      <c r="J18" s="5"/>
    </row>
    <row r="19" spans="1:10" ht="19.5">
      <c r="A19" s="5"/>
      <c r="B19" s="46" t="s">
        <v>59</v>
      </c>
      <c r="C19" s="77"/>
      <c r="D19" s="78"/>
      <c r="E19" s="47">
        <f>SUM(E9:E10)</f>
        <v>287800</v>
      </c>
      <c r="F19" s="27" t="s">
        <v>60</v>
      </c>
      <c r="G19" s="84">
        <v>5000</v>
      </c>
      <c r="H19" s="85"/>
      <c r="I19" s="23"/>
      <c r="J19" s="5"/>
    </row>
    <row r="20" spans="1:10" ht="19.5">
      <c r="A20" s="5"/>
      <c r="B20" s="45" t="s">
        <v>4</v>
      </c>
      <c r="C20" s="77"/>
      <c r="D20" s="78">
        <f>SUM(C22:C27)</f>
        <v>14500</v>
      </c>
      <c r="E20" s="47">
        <f>D20</f>
        <v>14500</v>
      </c>
      <c r="F20" s="27" t="s">
        <v>63</v>
      </c>
      <c r="G20" s="84">
        <v>5000</v>
      </c>
      <c r="H20" s="85"/>
      <c r="I20" s="23"/>
      <c r="J20" s="5"/>
    </row>
    <row r="21" spans="1:10">
      <c r="A21" s="5"/>
      <c r="B21" s="27" t="s">
        <v>50</v>
      </c>
      <c r="C21" s="79"/>
      <c r="D21" s="78"/>
      <c r="E21" s="76"/>
      <c r="F21" s="27" t="s">
        <v>61</v>
      </c>
      <c r="G21" s="84">
        <v>5000</v>
      </c>
      <c r="H21" s="85"/>
      <c r="I21" s="23"/>
      <c r="J21" s="5"/>
    </row>
    <row r="22" spans="1:10">
      <c r="A22" s="5"/>
      <c r="B22" s="27" t="s">
        <v>51</v>
      </c>
      <c r="C22" s="77">
        <v>5000</v>
      </c>
      <c r="D22" s="78"/>
      <c r="E22" s="76"/>
      <c r="F22" s="27" t="s">
        <v>62</v>
      </c>
      <c r="G22" s="84">
        <v>0</v>
      </c>
      <c r="H22" s="85"/>
      <c r="I22" s="23"/>
      <c r="J22" s="5"/>
    </row>
    <row r="23" spans="1:10">
      <c r="A23" s="5"/>
      <c r="B23" s="27" t="s">
        <v>52</v>
      </c>
      <c r="C23" s="77">
        <v>1500</v>
      </c>
      <c r="D23" s="78"/>
      <c r="E23" s="76"/>
      <c r="F23" s="27" t="s">
        <v>68</v>
      </c>
      <c r="G23" s="84">
        <v>0</v>
      </c>
      <c r="H23" s="85"/>
      <c r="I23" s="23"/>
      <c r="J23" s="5"/>
    </row>
    <row r="24" spans="1:10">
      <c r="A24" s="5"/>
      <c r="B24" s="27" t="s">
        <v>89</v>
      </c>
      <c r="C24" s="77">
        <v>6000</v>
      </c>
      <c r="D24" s="78"/>
      <c r="E24" s="76"/>
      <c r="F24" s="28" t="s">
        <v>65</v>
      </c>
      <c r="G24" s="84">
        <v>0</v>
      </c>
      <c r="H24" s="85"/>
      <c r="I24" s="23"/>
      <c r="J24" s="5"/>
    </row>
    <row r="25" spans="1:10" ht="39">
      <c r="A25" s="5"/>
      <c r="B25" s="27" t="s">
        <v>53</v>
      </c>
      <c r="C25" s="77">
        <v>2000</v>
      </c>
      <c r="D25" s="78"/>
      <c r="E25" s="76"/>
      <c r="F25" s="43" t="s">
        <v>7</v>
      </c>
      <c r="G25" s="84">
        <v>15000</v>
      </c>
      <c r="H25" s="85"/>
      <c r="I25" s="48">
        <f>-MIN(G25,50000)</f>
        <v>-15000</v>
      </c>
      <c r="J25" s="5"/>
    </row>
    <row r="26" spans="1:10" ht="39">
      <c r="A26" s="5"/>
      <c r="B26" s="27" t="s">
        <v>54</v>
      </c>
      <c r="C26" s="77">
        <v>0</v>
      </c>
      <c r="D26" s="78"/>
      <c r="E26" s="76"/>
      <c r="F26" s="43" t="s">
        <v>8</v>
      </c>
      <c r="G26" s="84">
        <v>15000</v>
      </c>
      <c r="H26" s="85"/>
      <c r="I26" s="48">
        <f>-MIN(G26,50000)/2</f>
        <v>-7500</v>
      </c>
      <c r="J26" s="5"/>
    </row>
    <row r="27" spans="1:10" ht="39">
      <c r="A27" s="5"/>
      <c r="B27" s="28" t="s">
        <v>55</v>
      </c>
      <c r="C27" s="77">
        <v>0</v>
      </c>
      <c r="D27" s="78"/>
      <c r="E27" s="76"/>
      <c r="F27" s="43" t="s">
        <v>90</v>
      </c>
      <c r="G27" s="84"/>
      <c r="H27" s="85">
        <f>-SUM(G28:G36)</f>
        <v>-31300</v>
      </c>
      <c r="I27" s="48">
        <f>H27</f>
        <v>-31300</v>
      </c>
      <c r="J27" s="5"/>
    </row>
    <row r="28" spans="1:10" ht="19.5">
      <c r="A28" s="5"/>
      <c r="B28" s="45" t="s">
        <v>56</v>
      </c>
      <c r="C28" s="77"/>
      <c r="D28" s="78"/>
      <c r="E28" s="47">
        <f>IF(-SUM(D29:D30)&gt;200000,-200000,SUM(D29:D30))</f>
        <v>-55000</v>
      </c>
      <c r="F28" s="27" t="s">
        <v>91</v>
      </c>
      <c r="G28" s="82">
        <v>1500</v>
      </c>
      <c r="H28" s="85"/>
      <c r="I28" s="23"/>
      <c r="J28" s="5"/>
    </row>
    <row r="29" spans="1:10">
      <c r="A29" s="5"/>
      <c r="B29" s="27" t="s">
        <v>57</v>
      </c>
      <c r="C29" s="77">
        <v>50000</v>
      </c>
      <c r="D29" s="78">
        <f>-IF(C28&gt;200000,200000,C29)</f>
        <v>-50000</v>
      </c>
      <c r="E29" s="76"/>
      <c r="F29" s="27" t="s">
        <v>80</v>
      </c>
      <c r="G29" s="82">
        <v>800</v>
      </c>
      <c r="H29" s="85"/>
      <c r="I29" s="23"/>
      <c r="J29" s="5"/>
    </row>
    <row r="30" spans="1:10">
      <c r="A30" s="5"/>
      <c r="B30" s="28" t="s">
        <v>58</v>
      </c>
      <c r="C30" s="77">
        <v>5000</v>
      </c>
      <c r="D30" s="78">
        <f>-IF(C30&gt;30000,30000,C30)</f>
        <v>-5000</v>
      </c>
      <c r="E30" s="76"/>
      <c r="F30" s="27" t="s">
        <v>81</v>
      </c>
      <c r="G30" s="82">
        <v>9000</v>
      </c>
      <c r="H30" s="85"/>
      <c r="I30" s="23"/>
      <c r="J30" s="5"/>
    </row>
    <row r="31" spans="1:10" ht="19.5">
      <c r="A31" s="5"/>
      <c r="B31" s="43" t="s">
        <v>5</v>
      </c>
      <c r="C31" s="80"/>
      <c r="D31" s="81"/>
      <c r="E31" s="25">
        <f>SUM(E28,E19,E20)</f>
        <v>247300</v>
      </c>
      <c r="F31" s="27" t="s">
        <v>79</v>
      </c>
      <c r="G31" s="82">
        <v>0</v>
      </c>
      <c r="H31" s="85"/>
      <c r="I31" s="23"/>
      <c r="J31" s="5"/>
    </row>
    <row r="32" spans="1:10">
      <c r="A32" s="5"/>
      <c r="B32" s="18"/>
      <c r="C32" s="19"/>
      <c r="D32" s="19"/>
      <c r="E32" s="20"/>
      <c r="F32" s="39" t="s">
        <v>92</v>
      </c>
      <c r="G32" s="82">
        <v>10000</v>
      </c>
      <c r="H32" s="85"/>
      <c r="I32" s="23"/>
      <c r="J32" s="5"/>
    </row>
    <row r="33" spans="1:10">
      <c r="A33" s="5"/>
      <c r="B33" s="35"/>
      <c r="C33" s="32"/>
      <c r="D33" s="32"/>
      <c r="E33" s="4"/>
      <c r="F33" s="39" t="s">
        <v>82</v>
      </c>
      <c r="G33" s="82">
        <v>0</v>
      </c>
      <c r="H33" s="85"/>
      <c r="I33" s="23"/>
      <c r="J33" s="5"/>
    </row>
    <row r="34" spans="1:10">
      <c r="A34" s="5"/>
      <c r="B34" s="36"/>
      <c r="C34" s="33"/>
      <c r="D34" s="33"/>
      <c r="E34" s="30"/>
      <c r="F34" s="39" t="s">
        <v>83</v>
      </c>
      <c r="G34" s="82">
        <v>0</v>
      </c>
      <c r="H34" s="85"/>
      <c r="I34" s="23"/>
      <c r="J34" s="5"/>
    </row>
    <row r="35" spans="1:10">
      <c r="A35" s="5"/>
      <c r="B35" s="36"/>
      <c r="C35" s="33"/>
      <c r="D35" s="33"/>
      <c r="E35" s="30"/>
      <c r="F35" s="39" t="s">
        <v>93</v>
      </c>
      <c r="G35" s="82">
        <v>0</v>
      </c>
      <c r="H35" s="85"/>
      <c r="I35" s="23"/>
      <c r="J35" s="5"/>
    </row>
    <row r="36" spans="1:10" ht="30">
      <c r="A36" s="5"/>
      <c r="B36" s="37"/>
      <c r="C36" s="34"/>
      <c r="D36" s="34"/>
      <c r="E36" s="31"/>
      <c r="F36" s="39" t="s">
        <v>84</v>
      </c>
      <c r="G36" s="83">
        <v>10000</v>
      </c>
      <c r="H36" s="85"/>
      <c r="I36" s="24"/>
      <c r="J36" s="5"/>
    </row>
    <row r="37" spans="1:10" ht="23.25">
      <c r="A37" s="5"/>
      <c r="B37" s="57" t="s">
        <v>87</v>
      </c>
      <c r="C37" s="58"/>
      <c r="D37" s="58"/>
      <c r="E37" s="58"/>
      <c r="F37" s="58"/>
      <c r="G37" s="58"/>
      <c r="H37" s="58"/>
      <c r="I37" s="59"/>
      <c r="J37" s="5"/>
    </row>
    <row r="38" spans="1:10" ht="31.5" customHeight="1">
      <c r="A38" s="5"/>
      <c r="B38" s="54" t="s">
        <v>9</v>
      </c>
      <c r="C38" s="55"/>
      <c r="D38" s="56"/>
      <c r="E38" s="44">
        <f>SUM(E31,I9,I25,I26,I27)</f>
        <v>331050</v>
      </c>
      <c r="F38" s="54" t="s">
        <v>12</v>
      </c>
      <c r="G38" s="55"/>
      <c r="H38" s="56"/>
      <c r="I38" s="44">
        <f>0.04*SUM(E40,E41)</f>
        <v>62.1</v>
      </c>
      <c r="J38" s="5"/>
    </row>
    <row r="39" spans="1:10" ht="31.5" customHeight="1">
      <c r="A39" s="5"/>
      <c r="B39" s="60" t="s">
        <v>10</v>
      </c>
      <c r="C39" s="61"/>
      <c r="D39" s="62"/>
      <c r="E39" s="44">
        <f>-IF(E38&lt;=350000,2500,0)</f>
        <v>-2500</v>
      </c>
      <c r="F39" s="54" t="s">
        <v>13</v>
      </c>
      <c r="G39" s="55"/>
      <c r="H39" s="56"/>
      <c r="I39" s="53">
        <f>E40+E41+E42+I38</f>
        <v>1614.6</v>
      </c>
      <c r="J39" s="5"/>
    </row>
    <row r="40" spans="1:10" ht="31.5" customHeight="1">
      <c r="A40" s="5"/>
      <c r="B40" s="54" t="s">
        <v>11</v>
      </c>
      <c r="C40" s="55"/>
      <c r="D40" s="56"/>
      <c r="E40" s="44">
        <f>MAX(SUM(IF(G6&gt;80,C62,(IF(G6&gt;60,C57,C51))),E39),0)</f>
        <v>1552.5</v>
      </c>
      <c r="F40" s="54" t="s">
        <v>14</v>
      </c>
      <c r="G40" s="55"/>
      <c r="H40" s="56"/>
      <c r="I40" s="49">
        <v>552</v>
      </c>
      <c r="J40" s="5"/>
    </row>
    <row r="41" spans="1:10" ht="31.5" customHeight="1">
      <c r="A41" s="5"/>
      <c r="B41" s="60" t="s">
        <v>85</v>
      </c>
      <c r="C41" s="61"/>
      <c r="D41" s="62"/>
      <c r="E41" s="44">
        <f>IF(AND(E38&gt;=5000000,E38&lt;10000000),E40*10%,0)</f>
        <v>0</v>
      </c>
      <c r="F41" s="54" t="s">
        <v>15</v>
      </c>
      <c r="G41" s="55"/>
      <c r="H41" s="56"/>
      <c r="I41" s="47">
        <f>I39-I40</f>
        <v>1062.5999999999999</v>
      </c>
      <c r="J41" s="5"/>
    </row>
    <row r="42" spans="1:10" ht="31.5" customHeight="1">
      <c r="A42" s="5"/>
      <c r="B42" s="60" t="s">
        <v>86</v>
      </c>
      <c r="C42" s="61"/>
      <c r="D42" s="62"/>
      <c r="E42" s="44">
        <f>IF(E38&gt;10000000,E40*15%,0)</f>
        <v>0</v>
      </c>
      <c r="F42" s="54" t="s">
        <v>16</v>
      </c>
      <c r="G42" s="55"/>
      <c r="H42" s="56"/>
      <c r="I42" s="50">
        <f>I39/(E9+E20)</f>
        <v>3.6323959505061864E-3</v>
      </c>
      <c r="J42" s="5"/>
    </row>
    <row r="43" spans="1:10">
      <c r="A43" s="5"/>
      <c r="B43" s="5"/>
      <c r="C43" s="7"/>
      <c r="D43" s="7"/>
      <c r="E43" s="7"/>
      <c r="F43" s="5"/>
      <c r="G43" s="5"/>
      <c r="H43" s="5"/>
      <c r="I43" s="5"/>
      <c r="J43" s="5"/>
    </row>
    <row r="45" spans="1:10" hidden="1">
      <c r="B45" s="21" t="s">
        <v>45</v>
      </c>
      <c r="C45" s="15" t="s">
        <v>29</v>
      </c>
      <c r="D45" s="15" t="s">
        <v>30</v>
      </c>
      <c r="E45" s="15" t="s">
        <v>31</v>
      </c>
      <c r="F45" s="15" t="s">
        <v>44</v>
      </c>
      <c r="G45" s="15" t="s">
        <v>32</v>
      </c>
    </row>
    <row r="46" spans="1:10" hidden="1">
      <c r="B46" s="14"/>
      <c r="C46" s="16"/>
      <c r="D46" s="16"/>
      <c r="E46" s="15" t="s">
        <v>28</v>
      </c>
      <c r="F46" s="14"/>
      <c r="G46" s="14"/>
    </row>
    <row r="47" spans="1:10" hidden="1">
      <c r="B47" s="15" t="s">
        <v>33</v>
      </c>
      <c r="C47" s="9">
        <f>G47*F47</f>
        <v>0</v>
      </c>
      <c r="D47" s="9">
        <v>250000</v>
      </c>
      <c r="E47" s="9"/>
      <c r="F47" s="10">
        <f>D47</f>
        <v>250000</v>
      </c>
      <c r="G47" s="17">
        <v>0</v>
      </c>
    </row>
    <row r="48" spans="1:10" hidden="1">
      <c r="B48" s="15" t="s">
        <v>34</v>
      </c>
      <c r="C48" s="9">
        <f>MAX(0,MIN(G48*F48,G48*E48))</f>
        <v>4052.5</v>
      </c>
      <c r="D48" s="9">
        <v>500000</v>
      </c>
      <c r="E48" s="9">
        <f>D48-D47</f>
        <v>250000</v>
      </c>
      <c r="F48" s="10">
        <f>E38-F47</f>
        <v>81050</v>
      </c>
      <c r="G48" s="17">
        <v>0.05</v>
      </c>
    </row>
    <row r="49" spans="2:7" hidden="1">
      <c r="B49" s="15" t="s">
        <v>35</v>
      </c>
      <c r="C49" s="9">
        <f>MAX(0,MIN(G49*F49,G49*E49))</f>
        <v>0</v>
      </c>
      <c r="D49" s="9">
        <v>1000000</v>
      </c>
      <c r="E49" s="9">
        <f>D49-D48</f>
        <v>500000</v>
      </c>
      <c r="F49" s="9">
        <f>F48-E48</f>
        <v>-168950</v>
      </c>
      <c r="G49" s="17">
        <v>0.2</v>
      </c>
    </row>
    <row r="50" spans="2:7" hidden="1">
      <c r="B50" s="15" t="s">
        <v>36</v>
      </c>
      <c r="C50" s="9">
        <f>MAX(0,MIN(G50*F50,G50*E50))</f>
        <v>0</v>
      </c>
      <c r="D50" s="9"/>
      <c r="E50" s="11">
        <f>E38-D49</f>
        <v>-668950</v>
      </c>
      <c r="F50" s="9">
        <f>F49-E49</f>
        <v>-668950</v>
      </c>
      <c r="G50" s="17">
        <v>0.30000000000000004</v>
      </c>
    </row>
    <row r="51" spans="2:7" hidden="1">
      <c r="B51" s="15" t="s">
        <v>37</v>
      </c>
      <c r="C51" s="12">
        <f>SUM(C47:C50)</f>
        <v>4052.5</v>
      </c>
      <c r="D51" s="9"/>
      <c r="E51" s="9"/>
      <c r="F51" s="9"/>
      <c r="G51" s="17"/>
    </row>
    <row r="52" spans="2:7" hidden="1">
      <c r="B52" s="14"/>
      <c r="C52" s="15"/>
      <c r="D52" s="15"/>
      <c r="E52" s="15" t="s">
        <v>38</v>
      </c>
      <c r="F52" s="15"/>
      <c r="G52" s="15"/>
    </row>
    <row r="53" spans="2:7" hidden="1">
      <c r="B53" s="15" t="s">
        <v>39</v>
      </c>
      <c r="C53" s="9">
        <f>G53*F53</f>
        <v>0</v>
      </c>
      <c r="D53" s="9">
        <v>300000</v>
      </c>
      <c r="E53" s="9"/>
      <c r="F53" s="9">
        <f>D53</f>
        <v>300000</v>
      </c>
      <c r="G53" s="17">
        <v>0</v>
      </c>
    </row>
    <row r="54" spans="2:7" hidden="1">
      <c r="B54" s="15" t="s">
        <v>40</v>
      </c>
      <c r="C54" s="9">
        <f>MAX(0,MIN(G54*F54,G54*E54))</f>
        <v>1552.5</v>
      </c>
      <c r="D54" s="9">
        <v>500000</v>
      </c>
      <c r="E54" s="9">
        <f>D54-D53</f>
        <v>200000</v>
      </c>
      <c r="F54" s="11">
        <f>E38-F53</f>
        <v>31050</v>
      </c>
      <c r="G54" s="17">
        <v>0.05</v>
      </c>
    </row>
    <row r="55" spans="2:7" hidden="1">
      <c r="B55" s="15" t="s">
        <v>35</v>
      </c>
      <c r="C55" s="9">
        <f>MAX(0,MIN(G55*F55,G55*E55))</f>
        <v>0</v>
      </c>
      <c r="D55" s="9">
        <v>1000000</v>
      </c>
      <c r="E55" s="9">
        <f>D55-D54</f>
        <v>500000</v>
      </c>
      <c r="F55" s="9">
        <f>F54-E54</f>
        <v>-168950</v>
      </c>
      <c r="G55" s="17">
        <v>0.2</v>
      </c>
    </row>
    <row r="56" spans="2:7" hidden="1">
      <c r="B56" s="15" t="s">
        <v>36</v>
      </c>
      <c r="C56" s="9">
        <f>MAX(0,MIN(G56*F56,G56*E56))</f>
        <v>0</v>
      </c>
      <c r="D56" s="9"/>
      <c r="E56" s="11">
        <f>E38-D55</f>
        <v>-668950</v>
      </c>
      <c r="F56" s="9">
        <f>F55-E55</f>
        <v>-668950</v>
      </c>
      <c r="G56" s="17">
        <v>0.30000000000000004</v>
      </c>
    </row>
    <row r="57" spans="2:7" hidden="1">
      <c r="B57" s="15" t="s">
        <v>37</v>
      </c>
      <c r="C57" s="12">
        <f>SUM(C53:C56)</f>
        <v>1552.5</v>
      </c>
      <c r="D57" s="9"/>
      <c r="E57" s="9"/>
      <c r="F57" s="9"/>
      <c r="G57" s="17"/>
    </row>
    <row r="58" spans="2:7" hidden="1">
      <c r="B58" s="14"/>
      <c r="C58" s="15"/>
      <c r="D58" s="15"/>
      <c r="E58" s="15" t="s">
        <v>41</v>
      </c>
      <c r="F58" s="15"/>
      <c r="G58" s="15"/>
    </row>
    <row r="59" spans="2:7" hidden="1">
      <c r="B59" s="15" t="s">
        <v>42</v>
      </c>
      <c r="C59" s="9">
        <f>G59*F59</f>
        <v>0</v>
      </c>
      <c r="D59" s="9">
        <v>500000</v>
      </c>
      <c r="E59" s="9"/>
      <c r="F59" s="9">
        <f>D59</f>
        <v>500000</v>
      </c>
      <c r="G59" s="17">
        <v>0</v>
      </c>
    </row>
    <row r="60" spans="2:7" hidden="1">
      <c r="B60" s="15" t="s">
        <v>35</v>
      </c>
      <c r="C60" s="9">
        <f>MAX(0,MIN(G60*F60,G60*E60))</f>
        <v>0</v>
      </c>
      <c r="D60" s="9">
        <v>1000000</v>
      </c>
      <c r="E60" s="9">
        <f>D60-D59</f>
        <v>500000</v>
      </c>
      <c r="F60" s="11">
        <f>E38-F59</f>
        <v>-168950</v>
      </c>
      <c r="G60" s="17">
        <v>0.2</v>
      </c>
    </row>
    <row r="61" spans="2:7" hidden="1">
      <c r="B61" s="15" t="s">
        <v>43</v>
      </c>
      <c r="C61" s="9">
        <f>MAX(0,MIN(G61*F61,G61*E61))</f>
        <v>0</v>
      </c>
      <c r="D61" s="9"/>
      <c r="E61" s="11">
        <f>E38-D60</f>
        <v>-668950</v>
      </c>
      <c r="F61" s="9">
        <f>F60-E60</f>
        <v>-668950</v>
      </c>
      <c r="G61" s="17">
        <v>0.3</v>
      </c>
    </row>
    <row r="62" spans="2:7" hidden="1">
      <c r="B62" s="15" t="s">
        <v>37</v>
      </c>
      <c r="C62" s="12">
        <f>SUM(C59:C61)</f>
        <v>0</v>
      </c>
      <c r="D62" s="9"/>
      <c r="E62" s="9"/>
      <c r="F62" s="9"/>
      <c r="G62" s="17"/>
    </row>
  </sheetData>
  <mergeCells count="20">
    <mergeCell ref="C5:E5"/>
    <mergeCell ref="B7:E7"/>
    <mergeCell ref="B2:G2"/>
    <mergeCell ref="C6:E6"/>
    <mergeCell ref="H2:I3"/>
    <mergeCell ref="B3:G3"/>
    <mergeCell ref="B4:E4"/>
    <mergeCell ref="G5:H5"/>
    <mergeCell ref="G6:H6"/>
    <mergeCell ref="B41:D41"/>
    <mergeCell ref="B42:D42"/>
    <mergeCell ref="F40:H40"/>
    <mergeCell ref="F41:H41"/>
    <mergeCell ref="F42:H42"/>
    <mergeCell ref="F39:H39"/>
    <mergeCell ref="B37:I37"/>
    <mergeCell ref="B38:D38"/>
    <mergeCell ref="B39:D39"/>
    <mergeCell ref="B40:D40"/>
    <mergeCell ref="F38:H38"/>
  </mergeCells>
  <dataValidations count="1">
    <dataValidation type="list" allowBlank="1" showInputMessage="1" showErrorMessage="1" sqref="C12">
      <formula1>$C$1:$D$1</formula1>
    </dataValidation>
  </dataValidation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1" orientation="landscape" r:id="rId2"/>
  <ignoredErrors>
    <ignoredError sqref="H9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Tax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Income Tax Calculator FY 2018-19;www.ExcelDataPro.com</cp:keywords>
  <cp:lastModifiedBy>Windows User</cp:lastModifiedBy>
  <cp:lastPrinted>2019-04-24T13:31:07Z</cp:lastPrinted>
  <dcterms:created xsi:type="dcterms:W3CDTF">2019-04-13T06:36:21Z</dcterms:created>
  <dcterms:modified xsi:type="dcterms:W3CDTF">2019-04-25T04:35:41Z</dcterms:modified>
</cp:coreProperties>
</file>